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rnents\Jacques\Excel\"/>
    </mc:Choice>
  </mc:AlternateContent>
  <xr:revisionPtr revIDLastSave="0" documentId="8_{2711AE34-8B3C-49BF-9DD9-871A60AF5872}" xr6:coauthVersionLast="47" xr6:coauthVersionMax="47" xr10:uidLastSave="{00000000-0000-0000-0000-000000000000}"/>
  <bookViews>
    <workbookView xWindow="3855" yWindow="3660" windowWidth="18000" windowHeight="12645" activeTab="2" xr2:uid="{00000000-000D-0000-FFFF-FFFF00000000}"/>
  </bookViews>
  <sheets>
    <sheet name="Feuil1" sheetId="1" state="hidden" r:id="rId1"/>
    <sheet name="Feuil2" sheetId="2" state="hidden" r:id="rId2"/>
    <sheet name="Simul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" l="1"/>
  <c r="D12" i="3"/>
  <c r="C13" i="3"/>
  <c r="D13" i="3" s="1"/>
  <c r="K13" i="3" s="1"/>
  <c r="F13" i="3"/>
  <c r="F14" i="3"/>
  <c r="F15" i="3" s="1"/>
  <c r="G14" i="3"/>
  <c r="I13" i="3"/>
  <c r="I14" i="3" s="1"/>
  <c r="J13" i="3"/>
  <c r="I6" i="2"/>
  <c r="J6" i="2"/>
  <c r="I5" i="2"/>
  <c r="J5" i="2"/>
  <c r="I4" i="2"/>
  <c r="J4" i="2"/>
  <c r="I14" i="2"/>
  <c r="I15" i="2"/>
  <c r="C7" i="2"/>
  <c r="I9" i="2"/>
  <c r="J18" i="2"/>
  <c r="I19" i="2"/>
  <c r="I18" i="2"/>
  <c r="I17" i="2"/>
  <c r="I16" i="2"/>
  <c r="I13" i="2"/>
  <c r="I12" i="2"/>
  <c r="I11" i="2"/>
  <c r="I10" i="2"/>
  <c r="F11" i="2"/>
  <c r="F12" i="2"/>
  <c r="F13" i="2"/>
  <c r="F14" i="2"/>
  <c r="F15" i="2"/>
  <c r="F16" i="2"/>
  <c r="F17" i="2"/>
  <c r="F18" i="2"/>
  <c r="F19" i="2"/>
  <c r="F10" i="2"/>
  <c r="J10" i="2"/>
  <c r="F9" i="2"/>
  <c r="C19" i="2"/>
  <c r="J19" i="2"/>
  <c r="C18" i="2"/>
  <c r="C17" i="2"/>
  <c r="J17" i="2"/>
  <c r="C16" i="2"/>
  <c r="J16" i="2"/>
  <c r="C15" i="2"/>
  <c r="C14" i="2"/>
  <c r="J14" i="2"/>
  <c r="C13" i="2"/>
  <c r="J13" i="2"/>
  <c r="C12" i="2"/>
  <c r="J12" i="2"/>
  <c r="C11" i="2"/>
  <c r="J11" i="2"/>
  <c r="C10" i="2"/>
  <c r="C9" i="2"/>
  <c r="J9" i="2"/>
  <c r="I8" i="2"/>
  <c r="I7" i="2"/>
  <c r="F7" i="2"/>
  <c r="F8" i="2"/>
  <c r="J8" i="2"/>
  <c r="C8" i="2"/>
  <c r="J3" i="1"/>
  <c r="J2" i="1"/>
  <c r="J1" i="1"/>
  <c r="J4" i="1"/>
  <c r="D7" i="1"/>
  <c r="D8" i="1"/>
  <c r="D6" i="1"/>
  <c r="D9" i="1"/>
  <c r="D2" i="1"/>
  <c r="D3" i="1"/>
  <c r="D1" i="1"/>
  <c r="J15" i="2"/>
  <c r="J7" i="2"/>
  <c r="D4" i="1"/>
  <c r="J20" i="2"/>
  <c r="K12" i="3"/>
  <c r="C14" i="3"/>
  <c r="D14" i="3" s="1"/>
  <c r="C15" i="3"/>
  <c r="D15" i="3" s="1"/>
  <c r="N13" i="3" l="1"/>
  <c r="F16" i="3"/>
  <c r="G15" i="3"/>
  <c r="I15" i="3"/>
  <c r="J14" i="3"/>
  <c r="K14" i="3" s="1"/>
  <c r="N14" i="3" s="1"/>
  <c r="C16" i="3"/>
  <c r="N12" i="3"/>
  <c r="D16" i="3" l="1"/>
  <c r="C17" i="3"/>
  <c r="J15" i="3"/>
  <c r="K15" i="3" s="1"/>
  <c r="N15" i="3" s="1"/>
  <c r="I16" i="3"/>
  <c r="F17" i="3"/>
  <c r="G16" i="3"/>
  <c r="J16" i="3" l="1"/>
  <c r="I17" i="3"/>
  <c r="G17" i="3"/>
  <c r="F18" i="3"/>
  <c r="D17" i="3"/>
  <c r="C18" i="3"/>
  <c r="K16" i="3"/>
  <c r="N16" i="3" s="1"/>
  <c r="C19" i="3" l="1"/>
  <c r="D18" i="3"/>
  <c r="F19" i="3"/>
  <c r="G18" i="3"/>
  <c r="J17" i="3"/>
  <c r="K17" i="3" s="1"/>
  <c r="N17" i="3" s="1"/>
  <c r="I18" i="3"/>
  <c r="J18" i="3" l="1"/>
  <c r="I19" i="3"/>
  <c r="K18" i="3"/>
  <c r="N18" i="3" s="1"/>
  <c r="F20" i="3"/>
  <c r="G19" i="3"/>
  <c r="D19" i="3"/>
  <c r="C20" i="3"/>
  <c r="C21" i="3" l="1"/>
  <c r="D20" i="3"/>
  <c r="G20" i="3"/>
  <c r="F21" i="3"/>
  <c r="I20" i="3"/>
  <c r="I21" i="3" s="1"/>
  <c r="J19" i="3"/>
  <c r="K19" i="3" s="1"/>
  <c r="N19" i="3" s="1"/>
  <c r="J21" i="3" l="1"/>
  <c r="I22" i="3"/>
  <c r="J20" i="3"/>
  <c r="G21" i="3"/>
  <c r="F22" i="3"/>
  <c r="K20" i="3"/>
  <c r="N20" i="3" s="1"/>
  <c r="D21" i="3"/>
  <c r="C22" i="3"/>
  <c r="K21" i="3" l="1"/>
  <c r="N21" i="3" s="1"/>
  <c r="D22" i="3"/>
  <c r="C23" i="3"/>
  <c r="F23" i="3"/>
  <c r="G22" i="3"/>
  <c r="J22" i="3"/>
  <c r="I23" i="3"/>
  <c r="I24" i="3" l="1"/>
  <c r="J24" i="3" s="1"/>
  <c r="J23" i="3"/>
  <c r="F24" i="3"/>
  <c r="G24" i="3" s="1"/>
  <c r="G23" i="3"/>
  <c r="C24" i="3"/>
  <c r="D24" i="3" s="1"/>
  <c r="K24" i="3" s="1"/>
  <c r="D23" i="3"/>
  <c r="K23" i="3" s="1"/>
  <c r="K22" i="3"/>
  <c r="N22" i="3" s="1"/>
  <c r="N23" i="3" s="1"/>
  <c r="N24" i="3" s="1"/>
</calcChain>
</file>

<file path=xl/sharedStrings.xml><?xml version="1.0" encoding="utf-8"?>
<sst xmlns="http://schemas.openxmlformats.org/spreadsheetml/2006/main" count="43" uniqueCount="32">
  <si>
    <t>Avant 82</t>
  </si>
  <si>
    <t>Après 82</t>
  </si>
  <si>
    <t>Après 2000</t>
  </si>
  <si>
    <t>Perte 2022</t>
  </si>
  <si>
    <t>Année</t>
  </si>
  <si>
    <t>A</t>
  </si>
  <si>
    <t>Rente</t>
  </si>
  <si>
    <t>+</t>
  </si>
  <si>
    <t>B</t>
  </si>
  <si>
    <t>C</t>
  </si>
  <si>
    <t>A+B+C</t>
  </si>
  <si>
    <t>Avant le 1er juillet 82</t>
  </si>
  <si>
    <t>1er juillet au 31 décembre 1999</t>
  </si>
  <si>
    <t>1er janv 2000</t>
  </si>
  <si>
    <t>Perte annuelle</t>
  </si>
  <si>
    <t>Perte accumulée</t>
  </si>
  <si>
    <t>Rente A</t>
  </si>
  <si>
    <t>D</t>
  </si>
  <si>
    <t>E</t>
  </si>
  <si>
    <t>F</t>
  </si>
  <si>
    <t>D+E+F</t>
  </si>
  <si>
    <t>TAIR</t>
  </si>
  <si>
    <r>
      <t>Avant le 1</t>
    </r>
    <r>
      <rPr>
        <b/>
        <vertAlign val="superscript"/>
        <sz val="12"/>
        <color indexed="8"/>
        <rFont val="Arial Narrow"/>
        <family val="2"/>
      </rPr>
      <t>er</t>
    </r>
    <r>
      <rPr>
        <b/>
        <sz val="12"/>
        <color indexed="8"/>
        <rFont val="Arial Narrow"/>
        <family val="2"/>
      </rPr>
      <t xml:space="preserve"> juillet 1982</t>
    </r>
  </si>
  <si>
    <r>
      <t>Du 1</t>
    </r>
    <r>
      <rPr>
        <b/>
        <vertAlign val="superscript"/>
        <sz val="12"/>
        <color indexed="8"/>
        <rFont val="Arial Narrow"/>
        <family val="2"/>
      </rPr>
      <t>er</t>
    </r>
    <r>
      <rPr>
        <b/>
        <sz val="12"/>
        <color indexed="8"/>
        <rFont val="Arial Narrow"/>
        <family val="2"/>
      </rPr>
      <t xml:space="preserve"> juillet 1982                  au 31 décembre 1999</t>
    </r>
  </si>
  <si>
    <r>
      <t>Après le 1</t>
    </r>
    <r>
      <rPr>
        <b/>
        <vertAlign val="superscript"/>
        <sz val="12"/>
        <color indexed="8"/>
        <rFont val="Arial Narrow"/>
        <family val="2"/>
      </rPr>
      <t>er</t>
    </r>
    <r>
      <rPr>
        <b/>
        <sz val="12"/>
        <color indexed="8"/>
        <rFont val="Arial Narrow"/>
        <family val="2"/>
      </rPr>
      <t xml:space="preserve"> janvier 2000</t>
    </r>
  </si>
  <si>
    <t>Rente B</t>
  </si>
  <si>
    <t>Rente C</t>
  </si>
  <si>
    <t xml:space="preserve">Calcul des pertes à la suite de la suspension pour six (6) années consécutives de l'indexation de la rente des retraités du RRPE </t>
  </si>
  <si>
    <r>
      <t>Calculs pour les retraités ayant pris leur retraite entre le 1</t>
    </r>
    <r>
      <rPr>
        <b/>
        <vertAlign val="superscript"/>
        <sz val="14"/>
        <color indexed="8"/>
        <rFont val="Arial Narrow"/>
        <family val="2"/>
      </rPr>
      <t>er</t>
    </r>
    <r>
      <rPr>
        <b/>
        <sz val="14"/>
        <color indexed="8"/>
        <rFont val="Arial Narrow"/>
        <family val="2"/>
      </rPr>
      <t xml:space="preserve"> janvier 2017 et le 30 juin 2019 </t>
    </r>
  </si>
  <si>
    <r>
      <t>Suspension de l'indexation du 1</t>
    </r>
    <r>
      <rPr>
        <b/>
        <vertAlign val="superscript"/>
        <sz val="14"/>
        <color theme="1"/>
        <rFont val="Arial Narrow"/>
        <family val="2"/>
      </rPr>
      <t>er</t>
    </r>
    <r>
      <rPr>
        <b/>
        <sz val="14"/>
        <color theme="1"/>
        <rFont val="Arial Narrow"/>
        <family val="2"/>
      </rPr>
      <t xml:space="preserve"> janvier 2021 au 31 décembre 2027</t>
    </r>
  </si>
  <si>
    <t>À la ligne année 2021, inscrire dans les colonnes Rente B et C les montants inscrits au document Votre Rente reçus de Retraite Québec pour les années 2021 à 2024</t>
  </si>
  <si>
    <r>
      <rPr>
        <b/>
        <u/>
        <sz val="10"/>
        <color rgb="FF000000"/>
        <rFont val="Arial Narrow"/>
        <family val="2"/>
      </rPr>
      <t>Note</t>
    </r>
    <r>
      <rPr>
        <b/>
        <sz val="10"/>
        <color rgb="FF000000"/>
        <rFont val="Arial Narrow"/>
        <family val="2"/>
      </rPr>
      <t xml:space="preserve"> :</t>
    </r>
    <r>
      <rPr>
        <sz val="10"/>
        <color indexed="8"/>
        <rFont val="Arial Narrow"/>
        <family val="2"/>
      </rPr>
      <t xml:space="preserve"> Ces calculs ne tiennent pas compte de la coordination des rentes</t>
    </r>
    <r>
      <rPr>
        <sz val="10"/>
        <color theme="1"/>
        <rFont val="Arial Narrow"/>
        <family val="2"/>
      </rPr>
      <t xml:space="preserve"> à partir du mois suivant votre 65</t>
    </r>
    <r>
      <rPr>
        <vertAlign val="superscript"/>
        <sz val="10"/>
        <color theme="1"/>
        <rFont val="Arial Narrow"/>
        <family val="2"/>
      </rPr>
      <t>e</t>
    </r>
    <r>
      <rPr>
        <sz val="10"/>
        <color theme="1"/>
        <rFont val="Arial Narrow"/>
        <family val="2"/>
      </rPr>
      <t xml:space="preserve"> anniversaire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</si>
</sst>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24" x14ac:knownFonts="1">
    <font>
      <sz val="12"/>
      <color theme="1"/>
      <name val="Calibri"/>
      <family val="2"/>
      <scheme val="minor"/>
    </font>
    <font>
      <b/>
      <vertAlign val="superscript"/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Arial Narrow"/>
      <family val="2"/>
    </font>
    <font>
      <b/>
      <sz val="14"/>
      <color indexed="8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rgb="FF000000"/>
      <name val="Calibri"/>
      <family val="2"/>
    </font>
    <font>
      <b/>
      <sz val="16"/>
      <color theme="1"/>
      <name val="Arial Narrow"/>
      <family val="2"/>
    </font>
    <font>
      <b/>
      <vertAlign val="superscript"/>
      <sz val="14"/>
      <color indexed="8"/>
      <name val="Arial Narrow"/>
      <family val="2"/>
    </font>
    <font>
      <b/>
      <vertAlign val="superscript"/>
      <sz val="14"/>
      <color theme="1"/>
      <name val="Arial Narrow"/>
      <family val="2"/>
    </font>
    <font>
      <b/>
      <u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0">
    <xf numFmtId="0" fontId="0" fillId="0" borderId="0" xfId="0"/>
    <xf numFmtId="44" fontId="5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0" applyNumberFormat="1" applyFont="1"/>
    <xf numFmtId="44" fontId="7" fillId="0" borderId="0" xfId="0" applyNumberFormat="1" applyFont="1"/>
    <xf numFmtId="44" fontId="6" fillId="0" borderId="0" xfId="1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8" fillId="0" borderId="0" xfId="0" applyFont="1"/>
    <xf numFmtId="44" fontId="8" fillId="0" borderId="0" xfId="0" applyNumberFormat="1" applyFont="1"/>
    <xf numFmtId="0" fontId="9" fillId="0" borderId="0" xfId="0" applyFont="1" applyAlignment="1">
      <alignment horizontal="center"/>
    </xf>
    <xf numFmtId="44" fontId="9" fillId="0" borderId="0" xfId="1" applyFont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44" fontId="10" fillId="0" borderId="0" xfId="0" applyNumberFormat="1" applyFont="1"/>
    <xf numFmtId="44" fontId="9" fillId="0" borderId="0" xfId="0" applyNumberFormat="1" applyFont="1"/>
    <xf numFmtId="10" fontId="9" fillId="0" borderId="0" xfId="0" applyNumberFormat="1" applyFont="1"/>
    <xf numFmtId="44" fontId="9" fillId="0" borderId="1" xfId="1" applyFont="1" applyBorder="1" applyAlignment="1" applyProtection="1">
      <alignment horizontal="center"/>
      <protection locked="0"/>
    </xf>
    <xf numFmtId="44" fontId="9" fillId="0" borderId="1" xfId="1" applyFont="1" applyBorder="1" applyProtection="1">
      <protection locked="0"/>
    </xf>
    <xf numFmtId="44" fontId="9" fillId="0" borderId="1" xfId="0" applyNumberFormat="1" applyFont="1" applyBorder="1" applyAlignment="1">
      <alignment horizontal="center" vertical="center"/>
    </xf>
    <xf numFmtId="44" fontId="9" fillId="2" borderId="2" xfId="0" applyNumberFormat="1" applyFont="1" applyFill="1" applyBorder="1"/>
    <xf numFmtId="44" fontId="9" fillId="0" borderId="3" xfId="1" applyFont="1" applyBorder="1" applyAlignment="1" applyProtection="1">
      <alignment horizontal="center"/>
      <protection locked="0"/>
    </xf>
    <xf numFmtId="0" fontId="9" fillId="0" borderId="4" xfId="0" applyFont="1" applyBorder="1"/>
    <xf numFmtId="44" fontId="9" fillId="0" borderId="3" xfId="1" applyFont="1" applyBorder="1" applyProtection="1">
      <protection locked="0"/>
    </xf>
    <xf numFmtId="44" fontId="9" fillId="0" borderId="3" xfId="0" applyNumberFormat="1" applyFont="1" applyBorder="1" applyAlignment="1">
      <alignment horizontal="center" vertical="center"/>
    </xf>
    <xf numFmtId="44" fontId="9" fillId="2" borderId="5" xfId="0" applyNumberFormat="1" applyFont="1" applyFill="1" applyBorder="1"/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10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0" fontId="9" fillId="0" borderId="1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5" xfId="0" applyFont="1" applyFill="1" applyBorder="1"/>
    <xf numFmtId="0" fontId="8" fillId="0" borderId="16" xfId="0" applyFont="1" applyBorder="1" applyAlignment="1">
      <alignment horizontal="center"/>
    </xf>
    <xf numFmtId="44" fontId="9" fillId="0" borderId="17" xfId="0" applyNumberFormat="1" applyFont="1" applyBorder="1" applyAlignment="1">
      <alignment horizontal="center" vertical="center"/>
    </xf>
    <xf numFmtId="44" fontId="9" fillId="0" borderId="18" xfId="0" applyNumberFormat="1" applyFont="1" applyBorder="1" applyAlignment="1">
      <alignment horizontal="center" vertical="center"/>
    </xf>
    <xf numFmtId="44" fontId="9" fillId="0" borderId="19" xfId="0" applyNumberFormat="1" applyFont="1" applyBorder="1" applyAlignment="1">
      <alignment horizontal="center" vertical="center"/>
    </xf>
    <xf numFmtId="44" fontId="9" fillId="0" borderId="8" xfId="0" applyNumberFormat="1" applyFont="1" applyBorder="1" applyAlignment="1">
      <alignment horizontal="center" vertical="center"/>
    </xf>
    <xf numFmtId="44" fontId="9" fillId="0" borderId="1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/>
    </xf>
    <xf numFmtId="44" fontId="9" fillId="3" borderId="17" xfId="1" applyFont="1" applyFill="1" applyBorder="1" applyAlignment="1" applyProtection="1">
      <alignment horizontal="center"/>
    </xf>
    <xf numFmtId="44" fontId="9" fillId="3" borderId="17" xfId="1" applyFont="1" applyFill="1" applyBorder="1" applyProtection="1"/>
    <xf numFmtId="44" fontId="9" fillId="3" borderId="18" xfId="1" applyFont="1" applyFill="1" applyBorder="1" applyProtection="1"/>
    <xf numFmtId="17" fontId="12" fillId="0" borderId="0" xfId="0" quotePrefix="1" applyNumberFormat="1" applyFont="1"/>
    <xf numFmtId="0" fontId="13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0" fillId="0" borderId="2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zoomScale="130" zoomScaleNormal="130" workbookViewId="0">
      <selection activeCell="I7" sqref="I7"/>
    </sheetView>
  </sheetViews>
  <sheetFormatPr baseColWidth="10" defaultRowHeight="15.75" x14ac:dyDescent="0.25"/>
  <cols>
    <col min="2" max="2" width="12.375" bestFit="1" customWidth="1"/>
    <col min="4" max="4" width="12.375" bestFit="1" customWidth="1"/>
    <col min="8" max="8" width="12.375" bestFit="1" customWidth="1"/>
    <col min="10" max="10" width="11.375" bestFit="1" customWidth="1"/>
  </cols>
  <sheetData>
    <row r="1" spans="1:10" x14ac:dyDescent="0.25">
      <c r="A1" t="s">
        <v>0</v>
      </c>
      <c r="B1" s="1">
        <v>19521.96</v>
      </c>
      <c r="C1">
        <v>9.74E-2</v>
      </c>
      <c r="D1" s="2">
        <f>B1*C1</f>
        <v>1901.4389039999999</v>
      </c>
      <c r="G1" s="3">
        <v>2033</v>
      </c>
      <c r="H1" s="1">
        <v>19521.96</v>
      </c>
      <c r="I1">
        <v>0.2868</v>
      </c>
      <c r="J1" s="2">
        <f>H1*I1</f>
        <v>5598.8981279999998</v>
      </c>
    </row>
    <row r="2" spans="1:10" x14ac:dyDescent="0.25">
      <c r="A2" t="s">
        <v>1</v>
      </c>
      <c r="B2" s="1">
        <v>17492.400000000001</v>
      </c>
      <c r="C2">
        <v>0</v>
      </c>
      <c r="D2" s="2">
        <f>B2*C2</f>
        <v>0</v>
      </c>
      <c r="H2" s="1">
        <v>17492.400000000001</v>
      </c>
      <c r="I2">
        <v>0.01</v>
      </c>
      <c r="J2" s="2">
        <f>H2*I2</f>
        <v>174.92400000000001</v>
      </c>
    </row>
    <row r="3" spans="1:10" x14ac:dyDescent="0.25">
      <c r="A3" t="s">
        <v>2</v>
      </c>
      <c r="B3" s="1">
        <v>8550.84</v>
      </c>
      <c r="C3">
        <v>4.8000000000000001E-2</v>
      </c>
      <c r="D3" s="2">
        <f>B3*C3</f>
        <v>410.44032000000004</v>
      </c>
      <c r="H3" s="1">
        <v>8550.84</v>
      </c>
      <c r="I3">
        <v>7.6300000000000007E-2</v>
      </c>
      <c r="J3" s="2">
        <f>H3*I3</f>
        <v>652.42909200000008</v>
      </c>
    </row>
    <row r="4" spans="1:10" x14ac:dyDescent="0.25">
      <c r="A4" t="s">
        <v>3</v>
      </c>
      <c r="B4" s="1"/>
      <c r="D4" s="2">
        <f>SUM(D1:D3)</f>
        <v>2311.8792239999998</v>
      </c>
      <c r="J4" s="2">
        <f>SUM(J1:J3)</f>
        <v>6426.2512200000001</v>
      </c>
    </row>
    <row r="5" spans="1:10" x14ac:dyDescent="0.25">
      <c r="B5" s="1"/>
      <c r="D5" s="2"/>
    </row>
    <row r="6" spans="1:10" x14ac:dyDescent="0.25">
      <c r="A6">
        <v>2033</v>
      </c>
      <c r="B6" s="1">
        <v>19521.96</v>
      </c>
      <c r="C6">
        <v>0.2868</v>
      </c>
      <c r="D6" s="2">
        <f>B6*C6</f>
        <v>5598.8981279999998</v>
      </c>
    </row>
    <row r="7" spans="1:10" x14ac:dyDescent="0.25">
      <c r="B7" s="1">
        <v>17492.400000000001</v>
      </c>
      <c r="C7">
        <v>0.01</v>
      </c>
      <c r="D7" s="2">
        <f>B7*C7</f>
        <v>174.92400000000001</v>
      </c>
    </row>
    <row r="8" spans="1:10" x14ac:dyDescent="0.25">
      <c r="B8" s="1">
        <v>8550.84</v>
      </c>
      <c r="C8">
        <v>7.6300000000000007E-2</v>
      </c>
      <c r="D8" s="2">
        <f>B8*C8</f>
        <v>652.42909200000008</v>
      </c>
    </row>
    <row r="9" spans="1:10" x14ac:dyDescent="0.25">
      <c r="D9" s="2">
        <f>SUM(D6:D8)</f>
        <v>6426.2512200000001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zoomScale="120" zoomScaleNormal="120" workbookViewId="0">
      <selection activeCell="B10" sqref="A1:K20"/>
    </sheetView>
  </sheetViews>
  <sheetFormatPr baseColWidth="10" defaultRowHeight="15.75" x14ac:dyDescent="0.25"/>
  <cols>
    <col min="1" max="1" width="11" bestFit="1" customWidth="1"/>
    <col min="2" max="2" width="14.875" bestFit="1" customWidth="1"/>
    <col min="3" max="3" width="11.625" bestFit="1" customWidth="1"/>
    <col min="4" max="4" width="2.125" bestFit="1" customWidth="1"/>
    <col min="5" max="5" width="14.875" bestFit="1" customWidth="1"/>
    <col min="6" max="6" width="11" bestFit="1" customWidth="1"/>
    <col min="7" max="7" width="2.125" bestFit="1" customWidth="1"/>
    <col min="8" max="8" width="14.875" bestFit="1" customWidth="1"/>
    <col min="9" max="9" width="13.5" bestFit="1" customWidth="1"/>
    <col min="10" max="10" width="16.375" bestFit="1" customWidth="1"/>
  </cols>
  <sheetData>
    <row r="1" spans="1:11" ht="35.1" customHeight="1" x14ac:dyDescent="0.3">
      <c r="A1" s="4"/>
      <c r="B1" s="62" t="s">
        <v>11</v>
      </c>
      <c r="C1" s="62"/>
      <c r="D1" s="5"/>
      <c r="E1" s="63" t="s">
        <v>12</v>
      </c>
      <c r="F1" s="63"/>
      <c r="G1" s="5"/>
      <c r="H1" s="63" t="s">
        <v>13</v>
      </c>
      <c r="I1" s="63"/>
      <c r="J1" s="64" t="s">
        <v>14</v>
      </c>
      <c r="K1" s="64"/>
    </row>
    <row r="2" spans="1:11" ht="18.75" x14ac:dyDescent="0.3">
      <c r="A2" s="4" t="s">
        <v>4</v>
      </c>
      <c r="B2" s="6" t="s">
        <v>6</v>
      </c>
      <c r="C2" s="6" t="s">
        <v>5</v>
      </c>
      <c r="D2" s="6"/>
      <c r="E2" s="6" t="s">
        <v>6</v>
      </c>
      <c r="F2" s="6" t="s">
        <v>8</v>
      </c>
      <c r="G2" s="6"/>
      <c r="H2" s="6" t="s">
        <v>6</v>
      </c>
      <c r="I2" s="6" t="s">
        <v>9</v>
      </c>
      <c r="J2" s="6" t="s">
        <v>10</v>
      </c>
      <c r="K2" s="4"/>
    </row>
    <row r="3" spans="1:11" ht="18.75" x14ac:dyDescent="0.3">
      <c r="A3" s="4">
        <v>2017</v>
      </c>
      <c r="B3" s="10">
        <v>0</v>
      </c>
      <c r="C3" s="10">
        <v>0</v>
      </c>
      <c r="D3" s="6"/>
      <c r="E3" s="7">
        <v>13084</v>
      </c>
      <c r="F3" s="10">
        <v>0</v>
      </c>
      <c r="G3" s="6"/>
      <c r="H3" s="7">
        <v>26486</v>
      </c>
      <c r="I3" s="10">
        <v>0</v>
      </c>
      <c r="J3" s="10">
        <v>0</v>
      </c>
      <c r="K3" s="4"/>
    </row>
    <row r="4" spans="1:11" ht="18.75" x14ac:dyDescent="0.3">
      <c r="A4" s="4">
        <v>2018</v>
      </c>
      <c r="B4" s="10">
        <v>0</v>
      </c>
      <c r="C4" s="10">
        <v>0</v>
      </c>
      <c r="D4" s="6"/>
      <c r="E4" s="7">
        <v>13084</v>
      </c>
      <c r="F4" s="10">
        <v>0</v>
      </c>
      <c r="G4" s="6"/>
      <c r="H4" s="7">
        <v>26486</v>
      </c>
      <c r="I4" s="10">
        <f>H4*0.0075</f>
        <v>198.64499999999998</v>
      </c>
      <c r="J4" s="8">
        <f>C4+F4+I4</f>
        <v>198.64499999999998</v>
      </c>
      <c r="K4" s="4"/>
    </row>
    <row r="5" spans="1:11" ht="18.75" x14ac:dyDescent="0.3">
      <c r="A5" s="4">
        <v>2019</v>
      </c>
      <c r="B5" s="10">
        <v>0</v>
      </c>
      <c r="C5" s="10">
        <v>0</v>
      </c>
      <c r="D5" s="6"/>
      <c r="E5" s="7">
        <v>13084</v>
      </c>
      <c r="F5" s="10">
        <v>0</v>
      </c>
      <c r="G5" s="6"/>
      <c r="H5" s="7">
        <v>26486</v>
      </c>
      <c r="I5" s="11">
        <f>H5*0.0192</f>
        <v>508.53119999999996</v>
      </c>
      <c r="J5" s="8">
        <f>C5+F5+I5</f>
        <v>508.53119999999996</v>
      </c>
      <c r="K5" s="4"/>
    </row>
    <row r="6" spans="1:11" ht="18.75" x14ac:dyDescent="0.3">
      <c r="A6" s="4">
        <v>2020</v>
      </c>
      <c r="B6" s="10">
        <v>0</v>
      </c>
      <c r="C6" s="10">
        <v>0</v>
      </c>
      <c r="D6" s="6"/>
      <c r="E6" s="7">
        <v>13084</v>
      </c>
      <c r="F6" s="10">
        <v>0</v>
      </c>
      <c r="G6" s="6"/>
      <c r="H6" s="7">
        <v>26486</v>
      </c>
      <c r="I6" s="11">
        <f>H6*0.0289</f>
        <v>765.44539999999995</v>
      </c>
      <c r="J6" s="8">
        <f>C6+F6+I6</f>
        <v>765.44539999999995</v>
      </c>
      <c r="K6" s="4"/>
    </row>
    <row r="7" spans="1:11" ht="18.75" x14ac:dyDescent="0.3">
      <c r="A7" s="4">
        <v>2021</v>
      </c>
      <c r="B7" s="7">
        <v>0</v>
      </c>
      <c r="C7" s="7">
        <f>B7*0.0686</f>
        <v>0</v>
      </c>
      <c r="D7" s="4" t="s">
        <v>7</v>
      </c>
      <c r="E7" s="7">
        <v>13084</v>
      </c>
      <c r="F7" s="8">
        <f>E7*0</f>
        <v>0</v>
      </c>
      <c r="G7" s="4" t="s">
        <v>7</v>
      </c>
      <c r="H7" s="7">
        <v>26486</v>
      </c>
      <c r="I7" s="11">
        <f>H7*0.0341</f>
        <v>903.17259999999999</v>
      </c>
      <c r="J7" s="8">
        <f>C7+F7+I7</f>
        <v>903.17259999999999</v>
      </c>
      <c r="K7" s="4"/>
    </row>
    <row r="8" spans="1:11" ht="18.75" x14ac:dyDescent="0.3">
      <c r="A8" s="4">
        <v>2022</v>
      </c>
      <c r="B8" s="7">
        <v>0</v>
      </c>
      <c r="C8" s="7">
        <f>0*0.0974</f>
        <v>0</v>
      </c>
      <c r="D8" s="4" t="s">
        <v>7</v>
      </c>
      <c r="E8" s="7">
        <v>13084</v>
      </c>
      <c r="F8" s="8">
        <f>E8*0</f>
        <v>0</v>
      </c>
      <c r="G8" s="4" t="s">
        <v>7</v>
      </c>
      <c r="H8" s="7">
        <v>26486</v>
      </c>
      <c r="I8" s="2">
        <f>H8*0.048</f>
        <v>1271.328</v>
      </c>
      <c r="J8" s="8">
        <f>C8+F8+I8</f>
        <v>1271.328</v>
      </c>
      <c r="K8" s="4"/>
    </row>
    <row r="9" spans="1:11" ht="18.75" x14ac:dyDescent="0.3">
      <c r="A9" s="4">
        <v>2023</v>
      </c>
      <c r="B9" s="7">
        <v>0</v>
      </c>
      <c r="C9" s="7">
        <f>0*0.1413</f>
        <v>0</v>
      </c>
      <c r="E9" s="7">
        <v>13084</v>
      </c>
      <c r="F9" s="2">
        <f>E9*0.01</f>
        <v>130.84</v>
      </c>
      <c r="H9" s="7">
        <v>26486</v>
      </c>
      <c r="I9" s="2">
        <f>H9*0.0689</f>
        <v>1824.8854000000001</v>
      </c>
      <c r="J9" s="8">
        <f t="shared" ref="J9:J19" si="0">C9+F9+I9</f>
        <v>1955.7254</v>
      </c>
    </row>
    <row r="10" spans="1:11" ht="18.75" x14ac:dyDescent="0.3">
      <c r="A10" s="4">
        <v>2024</v>
      </c>
      <c r="B10" s="7">
        <v>0</v>
      </c>
      <c r="C10" s="7">
        <f>0*0.1542</f>
        <v>0</v>
      </c>
      <c r="E10" s="7">
        <v>13084</v>
      </c>
      <c r="F10" s="2">
        <f>E10*0.01</f>
        <v>130.84</v>
      </c>
      <c r="H10" s="7">
        <v>26486</v>
      </c>
      <c r="I10" s="2">
        <f>H10*0.0697</f>
        <v>1846.0742</v>
      </c>
      <c r="J10" s="8">
        <f t="shared" si="0"/>
        <v>1976.9141999999999</v>
      </c>
    </row>
    <row r="11" spans="1:11" ht="18.75" x14ac:dyDescent="0.3">
      <c r="A11" s="4">
        <v>2025</v>
      </c>
      <c r="B11" s="7">
        <v>0</v>
      </c>
      <c r="C11" s="7">
        <f>B11*0.167</f>
        <v>0</v>
      </c>
      <c r="E11" s="7">
        <v>13084</v>
      </c>
      <c r="F11" s="2">
        <f t="shared" ref="F11:F19" si="1">E11*0.01</f>
        <v>130.84</v>
      </c>
      <c r="H11" s="7">
        <v>26486</v>
      </c>
      <c r="I11" s="2">
        <f>H11*0.0704</f>
        <v>1864.6144000000002</v>
      </c>
      <c r="J11" s="8">
        <f t="shared" si="0"/>
        <v>1995.4544000000001</v>
      </c>
    </row>
    <row r="12" spans="1:11" ht="18.75" x14ac:dyDescent="0.3">
      <c r="A12" s="4">
        <v>2026</v>
      </c>
      <c r="B12" s="7">
        <v>0</v>
      </c>
      <c r="C12" s="7">
        <f>0*0.1809</f>
        <v>0</v>
      </c>
      <c r="E12" s="7">
        <v>13084</v>
      </c>
      <c r="F12" s="2">
        <f t="shared" si="1"/>
        <v>130.84</v>
      </c>
      <c r="H12" s="7">
        <v>26486</v>
      </c>
      <c r="I12" s="2">
        <f>H13*0.0711</f>
        <v>1883.1545999999998</v>
      </c>
      <c r="J12" s="8">
        <f t="shared" si="0"/>
        <v>2013.9945999999998</v>
      </c>
    </row>
    <row r="13" spans="1:11" ht="18.75" x14ac:dyDescent="0.3">
      <c r="A13" s="4">
        <v>2027</v>
      </c>
      <c r="B13" s="7">
        <v>0</v>
      </c>
      <c r="C13" s="7">
        <f>0*2091</f>
        <v>0</v>
      </c>
      <c r="E13" s="7">
        <v>13084</v>
      </c>
      <c r="F13" s="2">
        <f t="shared" si="1"/>
        <v>130.84</v>
      </c>
      <c r="H13" s="7">
        <v>26486</v>
      </c>
      <c r="I13" s="2">
        <f>H13*0.0718</f>
        <v>1901.6948</v>
      </c>
      <c r="J13" s="8">
        <f t="shared" si="0"/>
        <v>2032.5347999999999</v>
      </c>
    </row>
    <row r="14" spans="1:11" ht="18.75" x14ac:dyDescent="0.3">
      <c r="A14" s="4">
        <v>2028</v>
      </c>
      <c r="B14" s="7">
        <v>0</v>
      </c>
      <c r="C14" s="7">
        <f>0*2238</f>
        <v>0</v>
      </c>
      <c r="E14" s="7">
        <v>13084</v>
      </c>
      <c r="F14" s="2">
        <f t="shared" si="1"/>
        <v>130.84</v>
      </c>
      <c r="H14" s="7">
        <v>26486</v>
      </c>
      <c r="I14" s="2">
        <f>H14*0.07189</f>
        <v>1904.07854</v>
      </c>
      <c r="J14" s="8">
        <f t="shared" si="0"/>
        <v>2034.9185399999999</v>
      </c>
    </row>
    <row r="15" spans="1:11" ht="18.75" x14ac:dyDescent="0.3">
      <c r="A15" s="4">
        <v>2029</v>
      </c>
      <c r="B15" s="7">
        <v>0</v>
      </c>
      <c r="C15" s="7">
        <f>0*0.2238</f>
        <v>0</v>
      </c>
      <c r="E15" s="7">
        <v>13084</v>
      </c>
      <c r="F15" s="2">
        <f t="shared" si="1"/>
        <v>130.84</v>
      </c>
      <c r="H15" s="7">
        <v>26486</v>
      </c>
      <c r="I15" s="2">
        <f>H15*0.0725</f>
        <v>1920.2349999999999</v>
      </c>
      <c r="J15" s="8">
        <f t="shared" si="0"/>
        <v>2051.0749999999998</v>
      </c>
    </row>
    <row r="16" spans="1:11" ht="18.75" x14ac:dyDescent="0.3">
      <c r="A16" s="4">
        <v>2030</v>
      </c>
      <c r="B16" s="7">
        <v>0</v>
      </c>
      <c r="C16" s="7">
        <f>0*2389</f>
        <v>0</v>
      </c>
      <c r="E16" s="7">
        <v>13084</v>
      </c>
      <c r="F16" s="2">
        <f t="shared" si="1"/>
        <v>130.84</v>
      </c>
      <c r="H16" s="7">
        <v>26486</v>
      </c>
      <c r="I16" s="2">
        <f>H16*0.0733</f>
        <v>1941.4238</v>
      </c>
      <c r="J16" s="8">
        <f t="shared" si="0"/>
        <v>2072.2638000000002</v>
      </c>
    </row>
    <row r="17" spans="1:10" ht="18.75" x14ac:dyDescent="0.3">
      <c r="A17" s="4">
        <v>2031</v>
      </c>
      <c r="B17" s="7">
        <v>0</v>
      </c>
      <c r="C17" s="7">
        <f>0*2544</f>
        <v>0</v>
      </c>
      <c r="E17" s="7">
        <v>13084</v>
      </c>
      <c r="F17" s="2">
        <f t="shared" si="1"/>
        <v>130.84</v>
      </c>
      <c r="H17" s="7">
        <v>26486</v>
      </c>
      <c r="I17" s="2">
        <f>H17*0.0747</f>
        <v>1978.5042000000001</v>
      </c>
      <c r="J17" s="8">
        <f t="shared" si="0"/>
        <v>2109.3442</v>
      </c>
    </row>
    <row r="18" spans="1:10" ht="18.75" x14ac:dyDescent="0.3">
      <c r="A18" s="4">
        <v>2032</v>
      </c>
      <c r="B18" s="7">
        <v>0</v>
      </c>
      <c r="C18" s="7">
        <f>0*0.2704</f>
        <v>0</v>
      </c>
      <c r="E18" s="7">
        <v>13084</v>
      </c>
      <c r="F18" s="2">
        <f t="shared" si="1"/>
        <v>130.84</v>
      </c>
      <c r="H18" s="7">
        <v>26486</v>
      </c>
      <c r="I18" s="2">
        <f>H18*0.0754</f>
        <v>1997.0443999999998</v>
      </c>
      <c r="J18" s="8">
        <f t="shared" si="0"/>
        <v>2127.8843999999999</v>
      </c>
    </row>
    <row r="19" spans="1:10" ht="18.75" x14ac:dyDescent="0.3">
      <c r="A19" s="4">
        <v>2033</v>
      </c>
      <c r="B19" s="7">
        <v>0</v>
      </c>
      <c r="C19" s="7">
        <f>B19*0.2868</f>
        <v>0</v>
      </c>
      <c r="E19" s="7">
        <v>13084</v>
      </c>
      <c r="F19" s="2">
        <f t="shared" si="1"/>
        <v>130.84</v>
      </c>
      <c r="H19" s="7">
        <v>26486</v>
      </c>
      <c r="I19" s="2">
        <f>H19*0.0763</f>
        <v>2020.8818000000001</v>
      </c>
      <c r="J19" s="8">
        <f t="shared" si="0"/>
        <v>2151.7218000000003</v>
      </c>
    </row>
    <row r="20" spans="1:10" ht="21" x14ac:dyDescent="0.35">
      <c r="J20" s="9">
        <f>SUM(J4:J19)</f>
        <v>26168.95334</v>
      </c>
    </row>
  </sheetData>
  <mergeCells count="4">
    <mergeCell ref="B1:C1"/>
    <mergeCell ref="E1:F1"/>
    <mergeCell ref="H1:I1"/>
    <mergeCell ref="J1:K1"/>
  </mergeCells>
  <pageMargins left="0.70866141732283472" right="0.70866141732283472" top="0.74803149606299213" bottom="0.74803149606299213" header="0.31496062992125984" footer="0.31496062992125984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0"/>
  <sheetViews>
    <sheetView tabSelected="1" zoomScale="140" zoomScaleNormal="140" workbookViewId="0">
      <selection activeCell="H30" sqref="H30"/>
    </sheetView>
  </sheetViews>
  <sheetFormatPr baseColWidth="10" defaultRowHeight="15.75" x14ac:dyDescent="0.25"/>
  <cols>
    <col min="1" max="2" width="5.625" customWidth="1"/>
    <col min="3" max="4" width="9.625" customWidth="1"/>
    <col min="5" max="5" width="2.375" customWidth="1"/>
    <col min="6" max="7" width="9.625" customWidth="1"/>
    <col min="8" max="8" width="2.375" bestFit="1" customWidth="1"/>
    <col min="9" max="11" width="9.625" customWidth="1"/>
    <col min="12" max="12" width="5" hidden="1" customWidth="1"/>
    <col min="13" max="13" width="2.625" customWidth="1"/>
    <col min="14" max="14" width="9.625" customWidth="1"/>
  </cols>
  <sheetData>
    <row r="1" spans="1:14" ht="16.5" thickBot="1" x14ac:dyDescent="0.3"/>
    <row r="2" spans="1:14" ht="20.100000000000001" customHeight="1" x14ac:dyDescent="0.25">
      <c r="A2" s="74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 ht="18" customHeight="1" thickBot="1" x14ac:dyDescent="0.3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4" ht="15.95" customHeight="1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15.95" customHeight="1" x14ac:dyDescent="0.25">
      <c r="A5" s="72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73"/>
    </row>
    <row r="6" spans="1:14" ht="15.95" customHeight="1" x14ac:dyDescent="0.25">
      <c r="A6" s="72" t="s">
        <v>29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73"/>
    </row>
    <row r="7" spans="1:14" ht="9.9499999999999993" customHeight="1" x14ac:dyDescent="0.3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14" ht="30" customHeight="1" x14ac:dyDescent="0.25">
      <c r="A8" s="69" t="s">
        <v>30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</row>
    <row r="9" spans="1:14" ht="15.95" customHeight="1" thickBot="1" x14ac:dyDescent="0.3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1:14" ht="39.950000000000003" customHeight="1" thickBot="1" x14ac:dyDescent="0.3">
      <c r="A10" s="53" t="s">
        <v>4</v>
      </c>
      <c r="B10" s="54" t="s">
        <v>21</v>
      </c>
      <c r="C10" s="65" t="s">
        <v>22</v>
      </c>
      <c r="D10" s="66"/>
      <c r="E10" s="30"/>
      <c r="F10" s="67" t="s">
        <v>23</v>
      </c>
      <c r="G10" s="68"/>
      <c r="H10" s="30"/>
      <c r="I10" s="67" t="s">
        <v>24</v>
      </c>
      <c r="J10" s="68"/>
      <c r="K10" s="67" t="s">
        <v>14</v>
      </c>
      <c r="L10" s="68"/>
      <c r="M10" s="46"/>
      <c r="N10" s="52" t="s">
        <v>15</v>
      </c>
    </row>
    <row r="11" spans="1:14" x14ac:dyDescent="0.25">
      <c r="A11" s="35"/>
      <c r="B11" s="36"/>
      <c r="C11" s="37" t="s">
        <v>16</v>
      </c>
      <c r="D11" s="47" t="s">
        <v>17</v>
      </c>
      <c r="E11" s="38"/>
      <c r="F11" s="37" t="s">
        <v>25</v>
      </c>
      <c r="G11" s="47" t="s">
        <v>18</v>
      </c>
      <c r="H11" s="38"/>
      <c r="I11" s="37" t="s">
        <v>26</v>
      </c>
      <c r="J11" s="47" t="s">
        <v>19</v>
      </c>
      <c r="K11" s="37" t="s">
        <v>20</v>
      </c>
      <c r="L11" s="40"/>
      <c r="M11" s="36"/>
      <c r="N11" s="39"/>
    </row>
    <row r="12" spans="1:14" ht="15.75" customHeight="1" x14ac:dyDescent="0.25">
      <c r="A12" s="31">
        <v>2021</v>
      </c>
      <c r="B12" s="32">
        <v>0.01</v>
      </c>
      <c r="C12" s="21">
        <v>0</v>
      </c>
      <c r="D12" s="48">
        <f>C12*0.015</f>
        <v>0</v>
      </c>
      <c r="E12" s="14"/>
      <c r="F12" s="22">
        <v>25000</v>
      </c>
      <c r="G12" s="48">
        <v>0</v>
      </c>
      <c r="H12" s="14"/>
      <c r="I12" s="22">
        <v>25000</v>
      </c>
      <c r="J12" s="48">
        <f>I12*0.005</f>
        <v>125</v>
      </c>
      <c r="K12" s="23">
        <f t="shared" ref="K12:K24" si="0">D12+G12+J12</f>
        <v>125</v>
      </c>
      <c r="L12" s="41"/>
      <c r="M12" s="43"/>
      <c r="N12" s="24">
        <f>K12</f>
        <v>125</v>
      </c>
    </row>
    <row r="13" spans="1:14" x14ac:dyDescent="0.25">
      <c r="A13" s="31">
        <v>2022</v>
      </c>
      <c r="B13" s="32">
        <v>2.7E-2</v>
      </c>
      <c r="C13" s="21">
        <f>C12</f>
        <v>0</v>
      </c>
      <c r="D13" s="48">
        <f>C13*0.0383</f>
        <v>0</v>
      </c>
      <c r="E13" s="14"/>
      <c r="F13" s="22">
        <f>F12</f>
        <v>25000</v>
      </c>
      <c r="G13" s="48">
        <v>0</v>
      </c>
      <c r="H13" s="14"/>
      <c r="I13" s="22">
        <f>I12</f>
        <v>25000</v>
      </c>
      <c r="J13" s="48">
        <f>I13*0.0186</f>
        <v>464.99999999999994</v>
      </c>
      <c r="K13" s="23">
        <f t="shared" si="0"/>
        <v>464.99999999999994</v>
      </c>
      <c r="L13" s="41"/>
      <c r="M13" s="44"/>
      <c r="N13" s="24">
        <f>K12+K13</f>
        <v>590</v>
      </c>
    </row>
    <row r="14" spans="1:14" x14ac:dyDescent="0.25">
      <c r="A14" s="31">
        <v>2023</v>
      </c>
      <c r="B14" s="32">
        <v>6.5000000000000002E-2</v>
      </c>
      <c r="C14" s="21">
        <f t="shared" ref="C14:C24" si="1">C13</f>
        <v>0</v>
      </c>
      <c r="D14" s="48">
        <f>C14*0.058</f>
        <v>0</v>
      </c>
      <c r="E14" s="14"/>
      <c r="F14" s="22">
        <f>F13</f>
        <v>25000</v>
      </c>
      <c r="G14" s="48">
        <f>+F14*0.035</f>
        <v>875.00000000000011</v>
      </c>
      <c r="H14" s="14"/>
      <c r="I14" s="22">
        <f t="shared" ref="I14:I24" si="2">I13</f>
        <v>25000</v>
      </c>
      <c r="J14" s="48">
        <f>I14*0.0542</f>
        <v>1355</v>
      </c>
      <c r="K14" s="23">
        <f t="shared" si="0"/>
        <v>2230</v>
      </c>
      <c r="L14" s="41"/>
      <c r="M14" s="44"/>
      <c r="N14" s="24">
        <f>N13+K14</f>
        <v>2820</v>
      </c>
    </row>
    <row r="15" spans="1:14" x14ac:dyDescent="0.25">
      <c r="A15" s="31">
        <v>2024</v>
      </c>
      <c r="B15" s="32">
        <v>4.3999999999999997E-2</v>
      </c>
      <c r="C15" s="21">
        <f>C14</f>
        <v>0</v>
      </c>
      <c r="D15" s="49">
        <f>C15*0.0686</f>
        <v>0</v>
      </c>
      <c r="E15" s="14" t="s">
        <v>7</v>
      </c>
      <c r="F15" s="22">
        <f>F14</f>
        <v>25000</v>
      </c>
      <c r="G15" s="48">
        <f>+F15*0.0495</f>
        <v>1237.5</v>
      </c>
      <c r="H15" s="14" t="s">
        <v>7</v>
      </c>
      <c r="I15" s="22">
        <f>I14</f>
        <v>25000</v>
      </c>
      <c r="J15" s="49">
        <f>I15*0.0774</f>
        <v>1935</v>
      </c>
      <c r="K15" s="23">
        <f t="shared" si="0"/>
        <v>3172.5</v>
      </c>
      <c r="L15" s="41"/>
      <c r="M15" s="44"/>
      <c r="N15" s="24">
        <f>N14+K15</f>
        <v>5992.5</v>
      </c>
    </row>
    <row r="16" spans="1:14" x14ac:dyDescent="0.25">
      <c r="A16" s="31">
        <v>2025</v>
      </c>
      <c r="B16" s="32">
        <v>3.5000000000000003E-2</v>
      </c>
      <c r="C16" s="21">
        <f t="shared" si="1"/>
        <v>0</v>
      </c>
      <c r="D16" s="49">
        <f>C16*0.0974</f>
        <v>0</v>
      </c>
      <c r="E16" s="14" t="s">
        <v>7</v>
      </c>
      <c r="F16" s="22">
        <f t="shared" ref="F16:F24" si="3">F15</f>
        <v>25000</v>
      </c>
      <c r="G16" s="49">
        <f>+F16*0.0547</f>
        <v>1367.5</v>
      </c>
      <c r="H16" s="14" t="s">
        <v>7</v>
      </c>
      <c r="I16" s="22">
        <f t="shared" si="2"/>
        <v>25000</v>
      </c>
      <c r="J16" s="49">
        <f>I16*0.0962</f>
        <v>2405</v>
      </c>
      <c r="K16" s="23">
        <f t="shared" si="0"/>
        <v>3772.5</v>
      </c>
      <c r="L16" s="41"/>
      <c r="M16" s="44"/>
      <c r="N16" s="24">
        <f>N15+K16</f>
        <v>9765</v>
      </c>
    </row>
    <row r="17" spans="1:14" x14ac:dyDescent="0.25">
      <c r="A17" s="31">
        <v>2026</v>
      </c>
      <c r="B17" s="32">
        <v>0.02</v>
      </c>
      <c r="C17" s="21">
        <f t="shared" si="1"/>
        <v>0</v>
      </c>
      <c r="D17" s="49">
        <f>C17*0.1688</f>
        <v>0</v>
      </c>
      <c r="E17" s="16"/>
      <c r="F17" s="22">
        <f t="shared" si="3"/>
        <v>25000</v>
      </c>
      <c r="G17" s="49">
        <f t="shared" ref="G17:G24" si="4">+F17*0.0547</f>
        <v>1367.5</v>
      </c>
      <c r="H17" s="16"/>
      <c r="I17" s="22">
        <f t="shared" si="2"/>
        <v>25000</v>
      </c>
      <c r="J17" s="49">
        <f>I17*0.1072</f>
        <v>2680</v>
      </c>
      <c r="K17" s="23">
        <f t="shared" si="0"/>
        <v>4047.5</v>
      </c>
      <c r="L17" s="41"/>
      <c r="M17" s="44"/>
      <c r="N17" s="24">
        <f>N16+K17</f>
        <v>13812.5</v>
      </c>
    </row>
    <row r="18" spans="1:14" x14ac:dyDescent="0.25">
      <c r="A18" s="31">
        <v>2027</v>
      </c>
      <c r="B18" s="32">
        <v>0.02</v>
      </c>
      <c r="C18" s="21">
        <f t="shared" si="1"/>
        <v>0</v>
      </c>
      <c r="D18" s="49">
        <f>C18*0.1982</f>
        <v>0</v>
      </c>
      <c r="E18" s="16"/>
      <c r="F18" s="22">
        <f t="shared" si="3"/>
        <v>25000</v>
      </c>
      <c r="G18" s="49">
        <f t="shared" si="4"/>
        <v>1367.5</v>
      </c>
      <c r="H18" s="16"/>
      <c r="I18" s="22">
        <f t="shared" si="2"/>
        <v>25000</v>
      </c>
      <c r="J18" s="49">
        <f>I18*0.1083</f>
        <v>2707.5</v>
      </c>
      <c r="K18" s="23">
        <f t="shared" si="0"/>
        <v>4075</v>
      </c>
      <c r="L18" s="41"/>
      <c r="M18" s="44"/>
      <c r="N18" s="24">
        <f t="shared" ref="N18:N24" si="5">N17+K18</f>
        <v>17887.5</v>
      </c>
    </row>
    <row r="19" spans="1:14" x14ac:dyDescent="0.25">
      <c r="A19" s="31">
        <v>2028</v>
      </c>
      <c r="B19" s="32">
        <v>0.02</v>
      </c>
      <c r="C19" s="21">
        <f t="shared" si="1"/>
        <v>0</v>
      </c>
      <c r="D19" s="49">
        <f>C19*0.223</f>
        <v>0</v>
      </c>
      <c r="E19" s="16"/>
      <c r="F19" s="22">
        <f t="shared" si="3"/>
        <v>25000</v>
      </c>
      <c r="G19" s="49">
        <f t="shared" si="4"/>
        <v>1367.5</v>
      </c>
      <c r="H19" s="16"/>
      <c r="I19" s="22">
        <f t="shared" si="2"/>
        <v>25000</v>
      </c>
      <c r="J19" s="49">
        <f>+I19*0.1094</f>
        <v>2735</v>
      </c>
      <c r="K19" s="23">
        <f t="shared" si="0"/>
        <v>4102.5</v>
      </c>
      <c r="L19" s="41"/>
      <c r="M19" s="44"/>
      <c r="N19" s="24">
        <f t="shared" si="5"/>
        <v>21990</v>
      </c>
    </row>
    <row r="20" spans="1:14" x14ac:dyDescent="0.25">
      <c r="A20" s="31">
        <v>2029</v>
      </c>
      <c r="B20" s="32">
        <v>0.02</v>
      </c>
      <c r="C20" s="21">
        <f t="shared" si="1"/>
        <v>0</v>
      </c>
      <c r="D20" s="49">
        <f>C20*0.2379</f>
        <v>0</v>
      </c>
      <c r="E20" s="16"/>
      <c r="F20" s="22">
        <f t="shared" si="3"/>
        <v>25000</v>
      </c>
      <c r="G20" s="49">
        <f t="shared" si="4"/>
        <v>1367.5</v>
      </c>
      <c r="H20" s="16"/>
      <c r="I20" s="22">
        <f t="shared" si="2"/>
        <v>25000</v>
      </c>
      <c r="J20" s="49">
        <f>I21*0.1105</f>
        <v>2762.5</v>
      </c>
      <c r="K20" s="23">
        <f t="shared" si="0"/>
        <v>4130</v>
      </c>
      <c r="L20" s="41"/>
      <c r="M20" s="44"/>
      <c r="N20" s="24">
        <f t="shared" si="5"/>
        <v>26120</v>
      </c>
    </row>
    <row r="21" spans="1:14" x14ac:dyDescent="0.25">
      <c r="A21" s="31">
        <v>2030</v>
      </c>
      <c r="B21" s="32">
        <v>0.02</v>
      </c>
      <c r="C21" s="21">
        <f t="shared" si="1"/>
        <v>0</v>
      </c>
      <c r="D21" s="49">
        <f>C21*0.2531</f>
        <v>0</v>
      </c>
      <c r="E21" s="16"/>
      <c r="F21" s="22">
        <f t="shared" si="3"/>
        <v>25000</v>
      </c>
      <c r="G21" s="49">
        <f t="shared" si="4"/>
        <v>1367.5</v>
      </c>
      <c r="H21" s="16"/>
      <c r="I21" s="22">
        <f t="shared" si="2"/>
        <v>25000</v>
      </c>
      <c r="J21" s="49">
        <f>I21*0.1116</f>
        <v>2790</v>
      </c>
      <c r="K21" s="23">
        <f t="shared" si="0"/>
        <v>4157.5</v>
      </c>
      <c r="L21" s="41"/>
      <c r="M21" s="44"/>
      <c r="N21" s="24">
        <f t="shared" si="5"/>
        <v>30277.5</v>
      </c>
    </row>
    <row r="22" spans="1:14" x14ac:dyDescent="0.25">
      <c r="A22" s="31">
        <v>2031</v>
      </c>
      <c r="B22" s="32">
        <v>0.02</v>
      </c>
      <c r="C22" s="21">
        <f t="shared" si="1"/>
        <v>0</v>
      </c>
      <c r="D22" s="49">
        <f>C22*0.2687</f>
        <v>0</v>
      </c>
      <c r="E22" s="16"/>
      <c r="F22" s="22">
        <f t="shared" si="3"/>
        <v>25000</v>
      </c>
      <c r="G22" s="49">
        <f t="shared" si="4"/>
        <v>1367.5</v>
      </c>
      <c r="H22" s="16"/>
      <c r="I22" s="22">
        <f t="shared" si="2"/>
        <v>25000</v>
      </c>
      <c r="J22" s="49">
        <f>I22*0.1127</f>
        <v>2817.5</v>
      </c>
      <c r="K22" s="23">
        <f t="shared" si="0"/>
        <v>4185</v>
      </c>
      <c r="L22" s="41"/>
      <c r="M22" s="44"/>
      <c r="N22" s="24">
        <f t="shared" si="5"/>
        <v>34462.5</v>
      </c>
    </row>
    <row r="23" spans="1:14" x14ac:dyDescent="0.25">
      <c r="A23" s="31">
        <v>2032</v>
      </c>
      <c r="B23" s="32">
        <v>0.02</v>
      </c>
      <c r="C23" s="21">
        <f t="shared" si="1"/>
        <v>0</v>
      </c>
      <c r="D23" s="49">
        <f>C23*0.2849</f>
        <v>0</v>
      </c>
      <c r="E23" s="16"/>
      <c r="F23" s="22">
        <f t="shared" si="3"/>
        <v>25000</v>
      </c>
      <c r="G23" s="49">
        <f t="shared" si="4"/>
        <v>1367.5</v>
      </c>
      <c r="H23" s="16"/>
      <c r="I23" s="22">
        <f t="shared" si="2"/>
        <v>25000</v>
      </c>
      <c r="J23" s="49">
        <f>I23*0.1138</f>
        <v>2845</v>
      </c>
      <c r="K23" s="23">
        <f t="shared" si="0"/>
        <v>4212.5</v>
      </c>
      <c r="L23" s="41"/>
      <c r="M23" s="44"/>
      <c r="N23" s="24">
        <f t="shared" si="5"/>
        <v>38675</v>
      </c>
    </row>
    <row r="24" spans="1:14" ht="16.5" thickBot="1" x14ac:dyDescent="0.3">
      <c r="A24" s="33">
        <v>2033</v>
      </c>
      <c r="B24" s="34">
        <v>0.02</v>
      </c>
      <c r="C24" s="25">
        <f t="shared" si="1"/>
        <v>0</v>
      </c>
      <c r="D24" s="50">
        <f>C24*0.3014</f>
        <v>0</v>
      </c>
      <c r="E24" s="26"/>
      <c r="F24" s="27">
        <f t="shared" si="3"/>
        <v>25000</v>
      </c>
      <c r="G24" s="50">
        <f t="shared" si="4"/>
        <v>1367.5</v>
      </c>
      <c r="H24" s="26"/>
      <c r="I24" s="27">
        <f t="shared" si="2"/>
        <v>25000</v>
      </c>
      <c r="J24" s="50">
        <f>+I24*0.115</f>
        <v>2875</v>
      </c>
      <c r="K24" s="28">
        <f t="shared" si="0"/>
        <v>4242.5</v>
      </c>
      <c r="L24" s="42"/>
      <c r="M24" s="45"/>
      <c r="N24" s="29">
        <f t="shared" si="5"/>
        <v>42917.5</v>
      </c>
    </row>
    <row r="25" spans="1:14" x14ac:dyDescent="0.25">
      <c r="A25" s="16"/>
      <c r="B25" s="16"/>
      <c r="C25" s="16"/>
      <c r="D25" s="16"/>
      <c r="E25" s="16"/>
      <c r="F25" s="17"/>
      <c r="G25" s="16"/>
      <c r="H25" s="16"/>
      <c r="I25" s="16"/>
      <c r="J25" s="16"/>
      <c r="K25" s="18"/>
      <c r="L25" s="18"/>
      <c r="M25" s="18"/>
      <c r="N25" s="16"/>
    </row>
    <row r="26" spans="1:14" x14ac:dyDescent="0.25">
      <c r="A26" s="16" t="s">
        <v>31</v>
      </c>
      <c r="B26" s="16"/>
      <c r="C26" s="19"/>
      <c r="D26" s="16"/>
      <c r="E26" s="16"/>
      <c r="F26" s="19"/>
      <c r="G26" s="16"/>
      <c r="H26" s="16"/>
      <c r="I26" s="16"/>
      <c r="J26" s="19"/>
      <c r="K26" s="19"/>
      <c r="L26" s="16"/>
      <c r="M26" s="16"/>
      <c r="N26" s="16"/>
    </row>
    <row r="27" spans="1:14" x14ac:dyDescent="0.25">
      <c r="A27" s="16"/>
      <c r="B27" s="16"/>
      <c r="C27" s="55"/>
      <c r="D27" s="16"/>
      <c r="E27" s="16"/>
      <c r="F27" s="20"/>
      <c r="G27" s="16"/>
      <c r="H27" s="16"/>
      <c r="I27" s="16"/>
      <c r="J27" s="20"/>
      <c r="K27" s="20"/>
      <c r="L27" s="16"/>
      <c r="M27" s="16"/>
      <c r="N27" s="16"/>
    </row>
    <row r="28" spans="1:14" x14ac:dyDescent="0.25">
      <c r="A28" s="51"/>
      <c r="B28" s="12"/>
      <c r="C28" s="55"/>
      <c r="D28" s="12"/>
      <c r="E28" s="12"/>
      <c r="F28" s="12"/>
      <c r="G28" s="12"/>
      <c r="H28" s="12"/>
      <c r="I28" s="13"/>
      <c r="J28" s="12"/>
      <c r="K28" s="12"/>
      <c r="L28" s="12"/>
      <c r="M28" s="12"/>
      <c r="N28" s="12"/>
    </row>
    <row r="29" spans="1:14" ht="15.75" customHeight="1" x14ac:dyDescent="0.25">
      <c r="A29" s="12"/>
      <c r="B29" s="12"/>
      <c r="C29" s="55"/>
      <c r="D29" s="12"/>
      <c r="E29" s="12"/>
      <c r="F29" s="12"/>
      <c r="G29" s="12"/>
      <c r="H29" s="12"/>
      <c r="I29" s="13"/>
      <c r="J29" s="12"/>
      <c r="K29" s="12"/>
      <c r="L29" s="12"/>
      <c r="M29" s="12"/>
      <c r="N29" s="12"/>
    </row>
    <row r="30" spans="1:14" x14ac:dyDescent="0.25">
      <c r="D30" s="15"/>
    </row>
  </sheetData>
  <mergeCells count="8">
    <mergeCell ref="A2:N3"/>
    <mergeCell ref="A5:N5"/>
    <mergeCell ref="A8:N8"/>
    <mergeCell ref="C10:D10"/>
    <mergeCell ref="F10:G10"/>
    <mergeCell ref="I10:J10"/>
    <mergeCell ref="A6:N6"/>
    <mergeCell ref="K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13:C24 F15:F24 I13:I24 F13: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René</dc:creator>
  <cp:lastModifiedBy>Jacques Thibault</cp:lastModifiedBy>
  <cp:lastPrinted>2024-05-16T20:05:13Z</cp:lastPrinted>
  <dcterms:created xsi:type="dcterms:W3CDTF">2022-01-06T15:16:42Z</dcterms:created>
  <dcterms:modified xsi:type="dcterms:W3CDTF">2024-05-16T20:06:57Z</dcterms:modified>
</cp:coreProperties>
</file>